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" windowWidth="9135" windowHeight="10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<sst xmlns="http://schemas.openxmlformats.org/spreadsheetml/2006/main" count="105" uniqueCount="46">
  <si>
    <t>d</t>
  </si>
  <si>
    <t>h</t>
  </si>
  <si>
    <t>k</t>
  </si>
  <si>
    <t>l</t>
  </si>
  <si>
    <t>h^2</t>
  </si>
  <si>
    <t>k^2</t>
  </si>
  <si>
    <t>l^2</t>
  </si>
  <si>
    <t>hl</t>
  </si>
  <si>
    <t>1/d^2</t>
  </si>
  <si>
    <t>Inverted matrix</t>
  </si>
  <si>
    <t>Original matrix</t>
  </si>
  <si>
    <t>A</t>
  </si>
  <si>
    <t>B</t>
  </si>
  <si>
    <t>C</t>
  </si>
  <si>
    <t>E</t>
  </si>
  <si>
    <t>a</t>
  </si>
  <si>
    <t>b</t>
  </si>
  <si>
    <t>c</t>
  </si>
  <si>
    <t>beta</t>
  </si>
  <si>
    <t xml:space="preserve"> </t>
  </si>
  <si>
    <t>Monoclinic</t>
  </si>
  <si>
    <t>Orthorhombic</t>
  </si>
  <si>
    <t>Tetragonal</t>
  </si>
  <si>
    <t>h^2+k^2</t>
  </si>
  <si>
    <t>Cubic</t>
  </si>
  <si>
    <t>h^2+k^2+l^2</t>
  </si>
  <si>
    <t>Lambda</t>
  </si>
  <si>
    <t>kl</t>
  </si>
  <si>
    <t>hk</t>
  </si>
  <si>
    <t>D</t>
  </si>
  <si>
    <t>F</t>
  </si>
  <si>
    <t>g</t>
  </si>
  <si>
    <t>r[0]</t>
  </si>
  <si>
    <t>r[1]</t>
  </si>
  <si>
    <t>r[2]</t>
  </si>
  <si>
    <t>r[3]</t>
  </si>
  <si>
    <t>r[4]</t>
  </si>
  <si>
    <t>r[5]</t>
  </si>
  <si>
    <t>vr</t>
  </si>
  <si>
    <t>sinar</t>
  </si>
  <si>
    <t>sinbr</t>
  </si>
  <si>
    <t>sincr</t>
  </si>
  <si>
    <t>triclinic</t>
  </si>
  <si>
    <t>hexagonal</t>
  </si>
  <si>
    <r>
      <t>2</t>
    </r>
    <r>
      <rPr>
        <b/>
        <sz val="10"/>
        <color indexed="12"/>
        <rFont val="Symbol"/>
        <family val="1"/>
      </rPr>
      <t>q</t>
    </r>
  </si>
  <si>
    <t>1/d^2 = 4(h^2+hk+k^2)/3a^2 + l^2/c^2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</si>
</sst>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0.00000"/>
  </numFmts>
  <fonts count="8">
    <font>
      <sz val="10"/>
      <name val="Arial"/>
      <family val="0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0"/>
    </font>
    <font>
      <b/>
      <sz val="10"/>
      <color indexed="14"/>
      <name val="Symbol"/>
      <family val="1"/>
    </font>
    <font>
      <b/>
      <sz val="10"/>
      <color indexed="12"/>
      <name val="Arial"/>
      <family val="0"/>
    </font>
    <font>
      <b/>
      <sz val="10"/>
      <color indexed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workbookViewId="0" topLeftCell="A21">
      <selection activeCell="Q38" sqref="Q38"/>
    </sheetView>
  </sheetViews>
  <sheetFormatPr defaultColWidth="9.140625" defaultRowHeight="12.75"/>
  <cols>
    <col min="4" max="12" width="4.7109375" style="0" customWidth="1"/>
    <col min="13" max="18" width="8.7109375" style="0" customWidth="1"/>
  </cols>
  <sheetData>
    <row r="1" spans="1:13" s="4" customFormat="1" ht="12.75">
      <c r="A1" s="4" t="s">
        <v>20</v>
      </c>
      <c r="G1" s="4" t="s">
        <v>10</v>
      </c>
      <c r="M1" s="4" t="s">
        <v>9</v>
      </c>
    </row>
    <row r="3" spans="1:22" s="8" customFormat="1" ht="12.75">
      <c r="A3" s="8" t="s">
        <v>44</v>
      </c>
      <c r="B3" s="8" t="s">
        <v>0</v>
      </c>
      <c r="C3" s="8" t="s">
        <v>8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S3" s="8" t="s">
        <v>11</v>
      </c>
      <c r="T3" s="8" t="s">
        <v>12</v>
      </c>
      <c r="U3" s="8" t="s">
        <v>13</v>
      </c>
      <c r="V3" s="8" t="s">
        <v>14</v>
      </c>
    </row>
    <row r="4" ht="12.75">
      <c r="F4" t="s">
        <v>19</v>
      </c>
    </row>
    <row r="5" spans="1:22" ht="12.75">
      <c r="A5">
        <v>7.6513</v>
      </c>
      <c r="B5">
        <f>$B$13/(2*SIN(A5/114.59156))</f>
        <v>5.245757291911951</v>
      </c>
      <c r="C5">
        <f>1/(B5)^2</f>
        <v>0.03633989047100225</v>
      </c>
      <c r="D5">
        <v>1</v>
      </c>
      <c r="E5">
        <v>2</v>
      </c>
      <c r="F5">
        <v>0</v>
      </c>
      <c r="G5">
        <f aca="true" t="shared" si="0" ref="G5:I8">D5*D5</f>
        <v>1</v>
      </c>
      <c r="H5">
        <f t="shared" si="0"/>
        <v>4</v>
      </c>
      <c r="I5">
        <f t="shared" si="0"/>
        <v>0</v>
      </c>
      <c r="J5">
        <f>D5*F5</f>
        <v>0</v>
      </c>
      <c r="M5" s="1">
        <f>INDEX((MINVERSE($G$5:$J$8)),1,1)</f>
        <v>0.31645569620253167</v>
      </c>
      <c r="N5" s="1">
        <f>INDEX((MINVERSE($G$5:$J$8)),1,2)</f>
        <v>0.1139240506329114</v>
      </c>
      <c r="O5" s="1">
        <f>INDEX((MINVERSE($G$5:$J$8)),1,3)</f>
        <v>-0.3417721518987342</v>
      </c>
      <c r="P5" s="1">
        <f>INDEX((MINVERSE($G$5:$J$8)),1,4)</f>
        <v>0.10126582278481011</v>
      </c>
      <c r="Q5" s="1"/>
      <c r="R5" s="1"/>
      <c r="S5">
        <f>INDEX((MMULT($M$5:$P$8,$C$5:$C$8)),1,1)</f>
        <v>0.009562378342579751</v>
      </c>
      <c r="T5">
        <f>INDEX((MMULT($M$5:$P$8,$C$5:$C$8)),2,1)</f>
        <v>0.0066943780321056245</v>
      </c>
      <c r="U5">
        <f>INDEX((MMULT($M$5:$P$8,$C$5:$C$8)),3,1)</f>
        <v>0.005257081016313962</v>
      </c>
      <c r="V5">
        <f>INDEX((MMULT($M$5:$P$8,$C$5:$C$8)),4,1)</f>
        <v>0.00322004048488527</v>
      </c>
    </row>
    <row r="6" spans="1:18" ht="12.75">
      <c r="A6">
        <v>7.7238</v>
      </c>
      <c r="B6">
        <f>$B$13/(2*SIN(A6/114.59156))</f>
        <v>5.196591160330292</v>
      </c>
      <c r="C6">
        <f>1/(B6)^2</f>
        <v>0.03703078337760614</v>
      </c>
      <c r="D6">
        <v>1</v>
      </c>
      <c r="E6">
        <v>0</v>
      </c>
      <c r="F6">
        <v>2</v>
      </c>
      <c r="G6">
        <f t="shared" si="0"/>
        <v>1</v>
      </c>
      <c r="H6">
        <f t="shared" si="0"/>
        <v>0</v>
      </c>
      <c r="I6">
        <f t="shared" si="0"/>
        <v>4</v>
      </c>
      <c r="J6">
        <f>D6*F6</f>
        <v>2</v>
      </c>
      <c r="M6" s="1">
        <f>INDEX((MINVERSE($G$5:$J$8)),2,1)</f>
        <v>0.17088607594936708</v>
      </c>
      <c r="N6" s="1">
        <f>INDEX((MINVERSE($G$5:$J$8)),2,2)</f>
        <v>-0.028481012658227844</v>
      </c>
      <c r="O6" s="1">
        <f>INDEX((MINVERSE($G$5:$J$8)),2,3)</f>
        <v>0.08544303797468354</v>
      </c>
      <c r="P6" s="1">
        <f>INDEX((MINVERSE($G$5:$J$8)),2,4)</f>
        <v>-0.025316455696202528</v>
      </c>
      <c r="Q6" s="1"/>
      <c r="R6" s="1"/>
    </row>
    <row r="7" spans="1:27" ht="12.75">
      <c r="A7">
        <v>9.0605</v>
      </c>
      <c r="B7">
        <f>$B$13/(2*SIN(A7/114.59156))</f>
        <v>4.431197630015453</v>
      </c>
      <c r="C7">
        <f>1/(B7)^2</f>
        <v>0.05092813356648755</v>
      </c>
      <c r="D7">
        <v>-1</v>
      </c>
      <c r="E7">
        <v>2</v>
      </c>
      <c r="F7">
        <v>2</v>
      </c>
      <c r="G7">
        <f t="shared" si="0"/>
        <v>1</v>
      </c>
      <c r="H7">
        <f t="shared" si="0"/>
        <v>4</v>
      </c>
      <c r="I7">
        <f t="shared" si="0"/>
        <v>4</v>
      </c>
      <c r="J7">
        <f>D7*F7</f>
        <v>-2</v>
      </c>
      <c r="M7" s="1">
        <f>INDEX((MINVERSE($G$5:$J$8)),3,1)</f>
        <v>-0.16455696202531644</v>
      </c>
      <c r="N7" s="1">
        <f>INDEX((MINVERSE($G$5:$J$8)),3,2)</f>
        <v>0.11075949367088608</v>
      </c>
      <c r="O7" s="1">
        <f>INDEX((MINVERSE($G$5:$J$8)),3,3)</f>
        <v>0.16772151898734178</v>
      </c>
      <c r="P7" s="1">
        <f>INDEX((MINVERSE($G$5:$J$8)),3,4)</f>
        <v>-0.012658227848101266</v>
      </c>
      <c r="Q7" s="1"/>
      <c r="R7" s="1"/>
      <c r="AA7" s="2"/>
    </row>
    <row r="8" spans="1:22" ht="12.75">
      <c r="A8">
        <v>13.3982</v>
      </c>
      <c r="B8">
        <f>$B$13/(2*SIN(A8/114.59156))</f>
        <v>3.0002965473389156</v>
      </c>
      <c r="C8">
        <f>1/(B8)^2</f>
        <v>0.11108914789818163</v>
      </c>
      <c r="D8">
        <v>-3</v>
      </c>
      <c r="E8">
        <v>1</v>
      </c>
      <c r="F8">
        <v>3</v>
      </c>
      <c r="G8">
        <f t="shared" si="0"/>
        <v>9</v>
      </c>
      <c r="H8">
        <f t="shared" si="0"/>
        <v>1</v>
      </c>
      <c r="I8">
        <f t="shared" si="0"/>
        <v>9</v>
      </c>
      <c r="J8">
        <f>D8*F8</f>
        <v>-9</v>
      </c>
      <c r="M8" s="1">
        <f>INDEX((MINVERSE($G$5:$J$8)),4,1)</f>
        <v>0.1708860759493671</v>
      </c>
      <c r="N8" s="1">
        <f>INDEX((MINVERSE($G$5:$J$8)),4,2)</f>
        <v>0.22151898734177217</v>
      </c>
      <c r="O8" s="1">
        <f>INDEX((MINVERSE($G$5:$J$8)),4,3)</f>
        <v>-0.16455696202531647</v>
      </c>
      <c r="P8" s="1">
        <f>INDEX((MINVERSE($G$5:$J$8)),4,4)</f>
        <v>-0.02531645569620253</v>
      </c>
      <c r="Q8" s="1"/>
      <c r="R8" s="1"/>
      <c r="S8" s="6" t="s">
        <v>18</v>
      </c>
      <c r="T8" s="6" t="s">
        <v>15</v>
      </c>
      <c r="U8" s="6" t="s">
        <v>16</v>
      </c>
      <c r="V8" s="6" t="s">
        <v>17</v>
      </c>
    </row>
    <row r="10" spans="13:22" ht="12.75">
      <c r="M10" s="1"/>
      <c r="N10" s="1"/>
      <c r="O10" s="1"/>
      <c r="P10" s="1"/>
      <c r="Q10" s="1"/>
      <c r="R10" s="1"/>
      <c r="S10" s="4">
        <f>180/PI()*(ACOS($V$5/(-2*SQRT($S$5*$U$5))))</f>
        <v>103.12513231979705</v>
      </c>
      <c r="T10" s="4">
        <f>1/(SQRT($S$5)*SIN($S$10*PI()/180))</f>
        <v>10.500577205140647</v>
      </c>
      <c r="U10" s="4">
        <f>1/SQRT($T$5)</f>
        <v>12.222073280683764</v>
      </c>
      <c r="V10" s="4">
        <f>1/(SQRT($U$5)*SIN($S$10*PI()/180))</f>
        <v>14.161974200826208</v>
      </c>
    </row>
    <row r="13" spans="1:2" ht="12.75">
      <c r="A13" s="3" t="s">
        <v>26</v>
      </c>
      <c r="B13" s="3">
        <v>0.7</v>
      </c>
    </row>
    <row r="16" s="4" customFormat="1" ht="12.75">
      <c r="A16" s="4" t="s">
        <v>21</v>
      </c>
    </row>
    <row r="18" spans="1:21" s="8" customFormat="1" ht="12.75">
      <c r="A18" s="8" t="s">
        <v>44</v>
      </c>
      <c r="B18" s="8" t="s">
        <v>0</v>
      </c>
      <c r="C18" s="8" t="s">
        <v>8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S18" s="8" t="s">
        <v>11</v>
      </c>
      <c r="T18" s="8" t="s">
        <v>12</v>
      </c>
      <c r="U18" s="8" t="s">
        <v>13</v>
      </c>
    </row>
    <row r="19" ht="12.75">
      <c r="F19" t="s">
        <v>19</v>
      </c>
    </row>
    <row r="20" spans="1:21" ht="12.75">
      <c r="A20">
        <v>7.584</v>
      </c>
      <c r="B20">
        <f>$B$13/(2*SIN($A$20:$A$22/114.59156))</f>
        <v>5.2922389606295575</v>
      </c>
      <c r="C20">
        <f>1/(B20)^2</f>
        <v>0.035704348153151</v>
      </c>
      <c r="D20">
        <v>0</v>
      </c>
      <c r="E20">
        <v>1</v>
      </c>
      <c r="F20">
        <v>2</v>
      </c>
      <c r="G20">
        <f aca="true" t="shared" si="1" ref="G20:I22">D20*D20</f>
        <v>0</v>
      </c>
      <c r="H20">
        <f t="shared" si="1"/>
        <v>1</v>
      </c>
      <c r="I20">
        <f t="shared" si="1"/>
        <v>4</v>
      </c>
      <c r="M20" s="1">
        <f>INDEX((MINVERSE($G$20:$I$22)),1,1)</f>
        <v>-0.8</v>
      </c>
      <c r="N20" s="1">
        <f>INDEX((MINVERSE($G$20:$I$22)),1,2)</f>
        <v>0.8</v>
      </c>
      <c r="O20" s="1">
        <f>INDEX((MINVERSE($G$20:$I$22)),1,3)</f>
        <v>0.2</v>
      </c>
      <c r="P20" s="1"/>
      <c r="Q20" s="1"/>
      <c r="R20" s="1"/>
      <c r="S20">
        <f>INDEX((MMULT($M$20:$O$22,$C$20:$C$22)),1,1)</f>
        <v>0.01052714162081361</v>
      </c>
      <c r="T20">
        <f>INDEX((MMULT($M$20:$O$22,$C$20:$C$22)),2,1)</f>
        <v>0.009875473208991875</v>
      </c>
      <c r="U20">
        <f>INDEX((MMULT($M$20:$O$22,$C$20:$C$22)),3,1)</f>
        <v>0.006457218736039782</v>
      </c>
    </row>
    <row r="21" spans="1:18" ht="12.75">
      <c r="A21">
        <v>7.653</v>
      </c>
      <c r="B21">
        <f>$B$13/(2*SIN($A$20:$A$22/114.59156))</f>
        <v>5.244593757431237</v>
      </c>
      <c r="C21">
        <f>1/(B21)^2</f>
        <v>0.03635601656497274</v>
      </c>
      <c r="D21">
        <v>1</v>
      </c>
      <c r="E21">
        <v>0</v>
      </c>
      <c r="F21">
        <v>2</v>
      </c>
      <c r="G21">
        <f t="shared" si="1"/>
        <v>1</v>
      </c>
      <c r="H21">
        <f t="shared" si="1"/>
        <v>0</v>
      </c>
      <c r="I21">
        <f t="shared" si="1"/>
        <v>4</v>
      </c>
      <c r="M21" s="1">
        <f>INDEX((MINVERSE($G$20:$I$22)),2,1)</f>
        <v>0.2</v>
      </c>
      <c r="N21" s="1">
        <f>INDEX((MINVERSE($G$20:$I$22)),2,2)</f>
        <v>-0.2</v>
      </c>
      <c r="O21" s="1">
        <f>INDEX((MINVERSE($G$20:$I$22)),2,3)</f>
        <v>0.2</v>
      </c>
      <c r="P21" s="1"/>
      <c r="Q21" s="1"/>
      <c r="R21" s="1"/>
    </row>
    <row r="22" spans="1:27" ht="12.75">
      <c r="A22">
        <v>8.98</v>
      </c>
      <c r="B22">
        <f>$B$13/(2*SIN($A$20:$A$22/114.59156))</f>
        <v>4.470838059846399</v>
      </c>
      <c r="C22">
        <f>1/(B22)^2</f>
        <v>0.050029034456781106</v>
      </c>
      <c r="D22">
        <v>1</v>
      </c>
      <c r="E22">
        <v>2</v>
      </c>
      <c r="F22">
        <v>0</v>
      </c>
      <c r="G22">
        <f t="shared" si="1"/>
        <v>1</v>
      </c>
      <c r="H22">
        <f t="shared" si="1"/>
        <v>4</v>
      </c>
      <c r="I22">
        <f t="shared" si="1"/>
        <v>0</v>
      </c>
      <c r="M22" s="1">
        <f>INDEX((MINVERSE($G$20:$I$22)),3,1)</f>
        <v>0.2</v>
      </c>
      <c r="N22" s="1">
        <f>INDEX((MINVERSE($G$20:$I$22)),3,2)</f>
        <v>0.05</v>
      </c>
      <c r="O22" s="1">
        <f>INDEX((MINVERSE($G$20:$I$22)),3,3)</f>
        <v>-0.05</v>
      </c>
      <c r="P22" s="1"/>
      <c r="Q22" s="1"/>
      <c r="R22" s="1"/>
      <c r="S22" s="6" t="s">
        <v>15</v>
      </c>
      <c r="T22" s="6" t="s">
        <v>16</v>
      </c>
      <c r="U22" s="6" t="s">
        <v>17</v>
      </c>
      <c r="AA22" s="2"/>
    </row>
    <row r="23" spans="13:18" ht="12.75">
      <c r="M23" s="1"/>
      <c r="N23" s="1"/>
      <c r="O23" s="1"/>
      <c r="P23" s="1"/>
      <c r="Q23" s="1"/>
      <c r="R23" s="1"/>
    </row>
    <row r="24" spans="19:21" ht="12.75">
      <c r="S24" s="4">
        <f>1/(SQRT($S$20))</f>
        <v>9.746412029913305</v>
      </c>
      <c r="T24" s="4">
        <f>1/SQRT($T$20)</f>
        <v>10.062851006024466</v>
      </c>
      <c r="U24" s="4">
        <f>1/(SQRT($U$20))</f>
        <v>12.44449423597311</v>
      </c>
    </row>
    <row r="25" spans="1:18" s="4" customFormat="1" ht="12.75">
      <c r="A25" s="4" t="s">
        <v>22</v>
      </c>
      <c r="M25" s="9"/>
      <c r="N25" s="9"/>
      <c r="O25" s="9"/>
      <c r="P25" s="9"/>
      <c r="Q25" s="9"/>
      <c r="R25" s="9"/>
    </row>
    <row r="27" spans="1:21" s="8" customFormat="1" ht="12.75">
      <c r="A27" s="8" t="s">
        <v>44</v>
      </c>
      <c r="B27" s="8" t="s">
        <v>0</v>
      </c>
      <c r="C27" s="8" t="s">
        <v>8</v>
      </c>
      <c r="D27" s="8" t="s">
        <v>1</v>
      </c>
      <c r="E27" s="8" t="s">
        <v>2</v>
      </c>
      <c r="F27" s="8" t="s">
        <v>3</v>
      </c>
      <c r="G27" s="8" t="s">
        <v>23</v>
      </c>
      <c r="H27" s="8" t="s">
        <v>6</v>
      </c>
      <c r="S27" s="8" t="s">
        <v>11</v>
      </c>
      <c r="U27" s="8" t="s">
        <v>13</v>
      </c>
    </row>
    <row r="28" ht="12.75">
      <c r="F28" t="s">
        <v>19</v>
      </c>
    </row>
    <row r="29" spans="1:21" ht="12.75">
      <c r="A29">
        <v>7.6513</v>
      </c>
      <c r="B29">
        <f>$B$13/(2*SIN($A$29:$A$30/114.59156))</f>
        <v>5.245757291911951</v>
      </c>
      <c r="C29">
        <f>1/(B29)^2</f>
        <v>0.03633989047100225</v>
      </c>
      <c r="D29">
        <v>0</v>
      </c>
      <c r="E29">
        <v>0</v>
      </c>
      <c r="F29">
        <v>2</v>
      </c>
      <c r="G29">
        <f>D29*D29+E29*E29</f>
        <v>0</v>
      </c>
      <c r="H29">
        <f>F29*F29</f>
        <v>4</v>
      </c>
      <c r="M29" s="1">
        <f>INDEX((MINVERSE($G$29:$H$30)),1,1)</f>
        <v>-0.5</v>
      </c>
      <c r="N29" s="1">
        <f>INDEX((MINVERSE($G$29:$H$30)),1,2)</f>
        <v>0.5</v>
      </c>
      <c r="O29" s="1"/>
      <c r="P29" s="1"/>
      <c r="Q29" s="1"/>
      <c r="R29" s="1"/>
      <c r="S29">
        <f>INDEX((MMULT($M$29:$N$30,$C$29:$C$30)),1,1)</f>
        <v>0.0072941215477426505</v>
      </c>
      <c r="U29">
        <f>INDEX((MMULT($M$29:$N$30,$C$29:$C$30)),2,1)</f>
        <v>0.009084972617750563</v>
      </c>
    </row>
    <row r="30" spans="1:18" ht="12.75">
      <c r="A30">
        <v>9.0605</v>
      </c>
      <c r="B30">
        <f>$B$13/(2*SIN($A$29:$A$30/114.59156))</f>
        <v>4.431197630015453</v>
      </c>
      <c r="C30">
        <f>1/(B30)^2</f>
        <v>0.05092813356648755</v>
      </c>
      <c r="D30">
        <v>1</v>
      </c>
      <c r="E30">
        <v>1</v>
      </c>
      <c r="F30">
        <v>2</v>
      </c>
      <c r="G30">
        <f>D30*D30+E30*E30</f>
        <v>2</v>
      </c>
      <c r="H30">
        <f>F30*F30</f>
        <v>4</v>
      </c>
      <c r="M30" s="1">
        <f>INDEX((MINVERSE($G$29:$H$30)),2,1)</f>
        <v>0.25</v>
      </c>
      <c r="N30" s="1">
        <f>INDEX((MINVERSE($G$29:$H$30)),2,2)</f>
        <v>0</v>
      </c>
      <c r="O30" s="1"/>
      <c r="P30" s="1"/>
      <c r="Q30" s="1"/>
      <c r="R30" s="1"/>
    </row>
    <row r="31" spans="13:27" ht="12.75">
      <c r="M31" s="1"/>
      <c r="N31" s="1"/>
      <c r="O31" s="1"/>
      <c r="P31" s="1"/>
      <c r="Q31" s="1"/>
      <c r="R31" s="1"/>
      <c r="S31" s="6" t="s">
        <v>15</v>
      </c>
      <c r="T31" s="6"/>
      <c r="U31" s="6" t="s">
        <v>17</v>
      </c>
      <c r="AA31" s="2"/>
    </row>
    <row r="33" spans="1:21" s="4" customFormat="1" ht="12.75">
      <c r="A33" s="4" t="s">
        <v>24</v>
      </c>
      <c r="S33" s="4">
        <f>1/(SQRT($S$29))</f>
        <v>11.70883003882904</v>
      </c>
      <c r="U33" s="4">
        <f>1/(SQRT($U$29))</f>
        <v>10.491514583823902</v>
      </c>
    </row>
    <row r="35" spans="1:15" s="8" customFormat="1" ht="12.75">
      <c r="A35" s="8" t="s">
        <v>44</v>
      </c>
      <c r="B35" s="8" t="s">
        <v>0</v>
      </c>
      <c r="C35" s="8" t="s">
        <v>8</v>
      </c>
      <c r="D35" s="8" t="s">
        <v>1</v>
      </c>
      <c r="E35" s="8" t="s">
        <v>2</v>
      </c>
      <c r="F35" s="8" t="s">
        <v>3</v>
      </c>
      <c r="G35" s="8" t="s">
        <v>25</v>
      </c>
      <c r="M35" s="8" t="s">
        <v>11</v>
      </c>
      <c r="O35" s="8" t="s">
        <v>15</v>
      </c>
    </row>
    <row r="36" ht="12.75">
      <c r="F36" t="s">
        <v>19</v>
      </c>
    </row>
    <row r="37" spans="1:15" ht="12.75">
      <c r="A37">
        <v>13.398</v>
      </c>
      <c r="B37">
        <f>B13/(2*SIN(A37/114.59156))</f>
        <v>3.000341130294879</v>
      </c>
      <c r="C37">
        <f>1/(B37)^2</f>
        <v>0.11108584650972145</v>
      </c>
      <c r="D37">
        <v>2</v>
      </c>
      <c r="E37">
        <v>1</v>
      </c>
      <c r="F37">
        <v>1</v>
      </c>
      <c r="G37">
        <f>D37*D37+E37*E37+F37*F37</f>
        <v>6</v>
      </c>
      <c r="M37">
        <f>C37/G37</f>
        <v>0.018514307751620242</v>
      </c>
      <c r="O37">
        <f>1/(SQRT($M$37))</f>
        <v>7.349304823507793</v>
      </c>
    </row>
    <row r="39" spans="1:13" s="4" customFormat="1" ht="12.75">
      <c r="A39" s="4" t="s">
        <v>42</v>
      </c>
      <c r="G39" s="4" t="s">
        <v>10</v>
      </c>
      <c r="M39" s="4" t="s">
        <v>9</v>
      </c>
    </row>
    <row r="41" spans="1:24" s="8" customFormat="1" ht="12.75">
      <c r="A41" s="8" t="s">
        <v>44</v>
      </c>
      <c r="B41" s="8" t="s">
        <v>0</v>
      </c>
      <c r="C41" s="8" t="s">
        <v>8</v>
      </c>
      <c r="D41" s="8" t="s">
        <v>1</v>
      </c>
      <c r="E41" s="8" t="s">
        <v>2</v>
      </c>
      <c r="F41" s="8" t="s">
        <v>3</v>
      </c>
      <c r="G41" s="8" t="s">
        <v>4</v>
      </c>
      <c r="H41" s="8" t="s">
        <v>5</v>
      </c>
      <c r="I41" s="8" t="s">
        <v>6</v>
      </c>
      <c r="J41" s="8" t="s">
        <v>27</v>
      </c>
      <c r="K41" s="8" t="s">
        <v>7</v>
      </c>
      <c r="L41" s="8" t="s">
        <v>28</v>
      </c>
      <c r="S41" s="8" t="s">
        <v>11</v>
      </c>
      <c r="T41" s="8" t="s">
        <v>12</v>
      </c>
      <c r="U41" s="8" t="s">
        <v>13</v>
      </c>
      <c r="V41" s="8" t="s">
        <v>29</v>
      </c>
      <c r="W41" s="8" t="s">
        <v>14</v>
      </c>
      <c r="X41" s="8" t="s">
        <v>30</v>
      </c>
    </row>
    <row r="42" ht="12.75">
      <c r="F42" t="s">
        <v>19</v>
      </c>
    </row>
    <row r="43" spans="1:24" ht="12.75">
      <c r="A43">
        <v>12</v>
      </c>
      <c r="B43">
        <f aca="true" t="shared" si="2" ref="B43:B48">$B$13/(2*SIN(A43/114.59156))</f>
        <v>3.348370310078387</v>
      </c>
      <c r="C43">
        <f aca="true" t="shared" si="3" ref="C43:C48">1/(B43)^2</f>
        <v>0.08919346488218706</v>
      </c>
      <c r="D43">
        <v>0</v>
      </c>
      <c r="E43">
        <v>1</v>
      </c>
      <c r="F43">
        <v>0</v>
      </c>
      <c r="G43">
        <f aca="true" t="shared" si="4" ref="G43:I48">D43*D43</f>
        <v>0</v>
      </c>
      <c r="H43">
        <f t="shared" si="4"/>
        <v>1</v>
      </c>
      <c r="I43">
        <f t="shared" si="4"/>
        <v>0</v>
      </c>
      <c r="J43">
        <f aca="true" t="shared" si="5" ref="J43:J48">E43*F43</f>
        <v>0</v>
      </c>
      <c r="K43">
        <f aca="true" t="shared" si="6" ref="K43:K48">D43*F43</f>
        <v>0</v>
      </c>
      <c r="L43">
        <f aca="true" t="shared" si="7" ref="L43:L48">D43*E43</f>
        <v>0</v>
      </c>
      <c r="M43" s="1">
        <f>INDEX((MINVERSE($G$43:$L$48)),1,1)</f>
        <v>0</v>
      </c>
      <c r="N43" s="1">
        <f>INDEX((MINVERSE($G$43:$L$48)),1,2)</f>
        <v>1</v>
      </c>
      <c r="O43" s="1">
        <f>INDEX((MINVERSE($G$43:$L$48)),1,3)</f>
        <v>0</v>
      </c>
      <c r="P43" s="1">
        <f>INDEX((MINVERSE($G$43:$L$48)),1,4)</f>
        <v>0</v>
      </c>
      <c r="Q43" s="1">
        <f>INDEX((MINVERSE($G$43:$L$48)),1,5)</f>
        <v>0</v>
      </c>
      <c r="R43" s="1">
        <f>INDEX((MINVERSE($G$43:$L$48)),1,6)</f>
        <v>0</v>
      </c>
      <c r="S43">
        <f>INDEX((MMULT($M$43:$R$48,$C$43:$C$48)),1,1)</f>
        <v>0.035245132123015305</v>
      </c>
      <c r="T43">
        <f>INDEX((MMULT($M$43:$R$48,$C$43:$C$48)),2,1)</f>
        <v>0.08919346488218706</v>
      </c>
      <c r="U43">
        <f>INDEX((MMULT($M$43:$R$48,$C$43:$C$48)),3,1)</f>
        <v>0.035676147842824864</v>
      </c>
      <c r="V43">
        <f>INDEX((MMULT($M$43:$R$48,$C$43:$C$48)),4,1)</f>
        <v>0.01733990361415369</v>
      </c>
      <c r="W43">
        <f>INDEX((MMULT($M$43:$R$48,$C$43:$C$48)),5,1)</f>
        <v>0.06322258371818743</v>
      </c>
      <c r="X43">
        <f>INDEX((MMULT($M$43:$R$48,$C$43:$C$48)),6,1)</f>
        <v>0.006643391584485667</v>
      </c>
    </row>
    <row r="44" spans="1:18" ht="12.75">
      <c r="A44">
        <v>7.535</v>
      </c>
      <c r="B44">
        <f t="shared" si="2"/>
        <v>5.326604216449442</v>
      </c>
      <c r="C44">
        <f t="shared" si="3"/>
        <v>0.035245132123015305</v>
      </c>
      <c r="D44">
        <v>1</v>
      </c>
      <c r="E44">
        <v>0</v>
      </c>
      <c r="F44">
        <v>0</v>
      </c>
      <c r="G44">
        <f t="shared" si="4"/>
        <v>1</v>
      </c>
      <c r="H44">
        <f t="shared" si="4"/>
        <v>0</v>
      </c>
      <c r="I44">
        <f t="shared" si="4"/>
        <v>0</v>
      </c>
      <c r="J44">
        <f t="shared" si="5"/>
        <v>0</v>
      </c>
      <c r="K44">
        <f t="shared" si="6"/>
        <v>0</v>
      </c>
      <c r="L44">
        <f t="shared" si="7"/>
        <v>0</v>
      </c>
      <c r="M44" s="1">
        <f>INDEX((MINVERSE($G$43:$L$48)),2,1)</f>
        <v>1</v>
      </c>
      <c r="N44" s="1">
        <f>INDEX((MINVERSE($G$43:$L$48)),2,2)</f>
        <v>0</v>
      </c>
      <c r="O44" s="1">
        <f>INDEX((MINVERSE($G$43:$L$48)),2,3)</f>
        <v>0</v>
      </c>
      <c r="P44" s="1">
        <f>INDEX((MINVERSE($G$43:$L$48)),2,4)</f>
        <v>0</v>
      </c>
      <c r="Q44" s="1">
        <f>INDEX((MINVERSE($G$43:$L$48)),2,5)</f>
        <v>0</v>
      </c>
      <c r="R44" s="1">
        <f>INDEX((MINVERSE($G$43:$L$48)),2,6)</f>
        <v>0</v>
      </c>
    </row>
    <row r="45" spans="1:18" ht="12.75">
      <c r="A45">
        <v>7.581</v>
      </c>
      <c r="B45">
        <f t="shared" si="2"/>
        <v>5.294330179964318</v>
      </c>
      <c r="C45">
        <f t="shared" si="3"/>
        <v>0.035676147842824864</v>
      </c>
      <c r="D45">
        <v>0</v>
      </c>
      <c r="E45">
        <v>0</v>
      </c>
      <c r="F45">
        <v>1</v>
      </c>
      <c r="G45">
        <f t="shared" si="4"/>
        <v>0</v>
      </c>
      <c r="H45">
        <f t="shared" si="4"/>
        <v>0</v>
      </c>
      <c r="I45">
        <f t="shared" si="4"/>
        <v>1</v>
      </c>
      <c r="J45">
        <f t="shared" si="5"/>
        <v>0</v>
      </c>
      <c r="K45">
        <f t="shared" si="6"/>
        <v>0</v>
      </c>
      <c r="L45">
        <f t="shared" si="7"/>
        <v>0</v>
      </c>
      <c r="M45" s="1">
        <f>INDEX((MINVERSE($G$43:$L$48)),3,1)</f>
        <v>0</v>
      </c>
      <c r="N45" s="1">
        <f>INDEX((MINVERSE($G$43:$L$48)),3,2)</f>
        <v>0</v>
      </c>
      <c r="O45" s="1">
        <f>INDEX((MINVERSE($G$43:$L$48)),3,3)</f>
        <v>1</v>
      </c>
      <c r="P45" s="1">
        <f>INDEX((MINVERSE($G$43:$L$48)),3,4)</f>
        <v>0</v>
      </c>
      <c r="Q45" s="1">
        <f>INDEX((MINVERSE($G$43:$L$48)),3,5)</f>
        <v>0</v>
      </c>
      <c r="R45" s="1">
        <f>INDEX((MINVERSE($G$43:$L$48)),3,6)</f>
        <v>0</v>
      </c>
    </row>
    <row r="46" spans="1:24" ht="12.75">
      <c r="A46">
        <v>14.56</v>
      </c>
      <c r="B46">
        <f t="shared" si="2"/>
        <v>2.7620306231308684</v>
      </c>
      <c r="C46">
        <f t="shared" si="3"/>
        <v>0.13108198858968803</v>
      </c>
      <c r="D46">
        <v>1</v>
      </c>
      <c r="E46">
        <v>1</v>
      </c>
      <c r="F46">
        <v>0</v>
      </c>
      <c r="G46">
        <f t="shared" si="4"/>
        <v>1</v>
      </c>
      <c r="H46">
        <f t="shared" si="4"/>
        <v>1</v>
      </c>
      <c r="I46">
        <f t="shared" si="4"/>
        <v>0</v>
      </c>
      <c r="J46">
        <f t="shared" si="5"/>
        <v>0</v>
      </c>
      <c r="K46">
        <f t="shared" si="6"/>
        <v>0</v>
      </c>
      <c r="L46">
        <f t="shared" si="7"/>
        <v>1</v>
      </c>
      <c r="M46" s="1">
        <f>INDEX((MINVERSE($G$43:$L$48)),4,1)</f>
        <v>-1</v>
      </c>
      <c r="N46" s="1">
        <f>INDEX((MINVERSE($G$43:$L$48)),4,2)</f>
        <v>0</v>
      </c>
      <c r="O46" s="1">
        <f>INDEX((MINVERSE($G$43:$L$48)),4,3)</f>
        <v>-1</v>
      </c>
      <c r="P46" s="1">
        <f>INDEX((MINVERSE($G$43:$L$48)),4,4)</f>
        <v>0</v>
      </c>
      <c r="Q46" s="1">
        <f>INDEX((MINVERSE($G$43:$L$48)),4,5)</f>
        <v>1</v>
      </c>
      <c r="R46" s="1">
        <f>INDEX((MINVERSE($G$43:$L$48)),4,6)</f>
        <v>0</v>
      </c>
      <c r="S46" s="5" t="s">
        <v>15</v>
      </c>
      <c r="T46" s="5" t="s">
        <v>16</v>
      </c>
      <c r="U46" s="5" t="s">
        <v>17</v>
      </c>
      <c r="V46" s="7" t="s">
        <v>15</v>
      </c>
      <c r="W46" s="7" t="s">
        <v>16</v>
      </c>
      <c r="X46" s="7" t="s">
        <v>31</v>
      </c>
    </row>
    <row r="47" spans="1:18" ht="12.75">
      <c r="A47">
        <v>15.1689</v>
      </c>
      <c r="B47">
        <f t="shared" si="2"/>
        <v>2.6517688842780736</v>
      </c>
      <c r="C47">
        <f t="shared" si="3"/>
        <v>0.14220951633916562</v>
      </c>
      <c r="D47">
        <v>0</v>
      </c>
      <c r="E47">
        <v>1</v>
      </c>
      <c r="F47">
        <v>1</v>
      </c>
      <c r="G47">
        <f t="shared" si="4"/>
        <v>0</v>
      </c>
      <c r="H47">
        <f t="shared" si="4"/>
        <v>1</v>
      </c>
      <c r="I47">
        <f t="shared" si="4"/>
        <v>1</v>
      </c>
      <c r="J47">
        <f t="shared" si="5"/>
        <v>1</v>
      </c>
      <c r="K47">
        <f t="shared" si="6"/>
        <v>0</v>
      </c>
      <c r="L47">
        <f t="shared" si="7"/>
        <v>0</v>
      </c>
      <c r="M47" s="1">
        <f>INDEX((MINVERSE($G$43:$L$48)),5,1)</f>
        <v>0</v>
      </c>
      <c r="N47" s="1">
        <f>INDEX((MINVERSE($G$43:$L$48)),5,2)</f>
        <v>-1</v>
      </c>
      <c r="O47" s="1">
        <f>INDEX((MINVERSE($G$43:$L$48)),5,3)</f>
        <v>-1</v>
      </c>
      <c r="P47" s="1">
        <f>INDEX((MINVERSE($G$43:$L$48)),5,4)</f>
        <v>0</v>
      </c>
      <c r="Q47" s="1">
        <f>INDEX((MINVERSE($G$43:$L$48)),5,5)</f>
        <v>0</v>
      </c>
      <c r="R47" s="1">
        <f>INDEX((MINVERSE($G$43:$L$48)),5,6)</f>
        <v>1</v>
      </c>
    </row>
    <row r="48" spans="1:24" ht="12.75">
      <c r="A48">
        <v>14.73</v>
      </c>
      <c r="B48">
        <f t="shared" si="2"/>
        <v>2.730326564333214</v>
      </c>
      <c r="C48">
        <f t="shared" si="3"/>
        <v>0.1341438636840276</v>
      </c>
      <c r="D48">
        <v>1</v>
      </c>
      <c r="E48">
        <v>0</v>
      </c>
      <c r="F48">
        <v>1</v>
      </c>
      <c r="G48">
        <f t="shared" si="4"/>
        <v>1</v>
      </c>
      <c r="H48">
        <f t="shared" si="4"/>
        <v>0</v>
      </c>
      <c r="I48">
        <f t="shared" si="4"/>
        <v>1</v>
      </c>
      <c r="J48">
        <f t="shared" si="5"/>
        <v>0</v>
      </c>
      <c r="K48">
        <f t="shared" si="6"/>
        <v>1</v>
      </c>
      <c r="L48">
        <f t="shared" si="7"/>
        <v>0</v>
      </c>
      <c r="M48" s="1">
        <f>INDEX((MINVERSE($G$43:$L$48)),6,1)</f>
        <v>-1</v>
      </c>
      <c r="N48" s="1">
        <f>INDEX((MINVERSE($G$43:$L$48)),6,2)</f>
        <v>-1</v>
      </c>
      <c r="O48" s="1">
        <f>INDEX((MINVERSE($G$43:$L$48)),6,3)</f>
        <v>0</v>
      </c>
      <c r="P48" s="1">
        <f>INDEX((MINVERSE($G$43:$L$48)),6,4)</f>
        <v>1</v>
      </c>
      <c r="Q48" s="1">
        <f>INDEX((MINVERSE($G$43:$L$48)),6,5)</f>
        <v>0</v>
      </c>
      <c r="R48" s="1">
        <f>INDEX((MINVERSE($G$43:$L$48)),6,6)</f>
        <v>0</v>
      </c>
      <c r="S48" s="4">
        <f>(2*PI()*T52*T53*T59)/T58</f>
        <v>11.93760352363935</v>
      </c>
      <c r="T48" s="4">
        <f>(2*PI()*T51*T53*T60)/T58</f>
        <v>3.4409445104376264</v>
      </c>
      <c r="U48" s="4">
        <f>(2*PI()*T52*T51*T61)/T58</f>
        <v>11.986857106227134</v>
      </c>
      <c r="V48" s="4">
        <f>180/PI()*ACOS((T55*T56-T54)/(T60*T61))</f>
        <v>102.88785424372064</v>
      </c>
      <c r="W48" s="4">
        <f>180/PI()*ACOS((T54*T56-T55)/(T59*T61))</f>
        <v>153.44933947596905</v>
      </c>
      <c r="X48" s="4">
        <f>180/PI()*ACOS((T54*T55-T56)/(T59*T60))</f>
        <v>79.99658188594383</v>
      </c>
    </row>
    <row r="50" spans="1:4" ht="12.75">
      <c r="A50" s="4" t="s">
        <v>43</v>
      </c>
      <c r="B50" s="10"/>
      <c r="C50" s="10"/>
      <c r="D50" s="10"/>
    </row>
    <row r="51" spans="1:20" ht="12.75">
      <c r="A51" s="10" t="s">
        <v>45</v>
      </c>
      <c r="B51" s="10"/>
      <c r="C51" s="10"/>
      <c r="D51" s="10"/>
      <c r="S51" t="s">
        <v>32</v>
      </c>
      <c r="T51">
        <f>2*PI()*SQRT(S43)</f>
        <v>1.1795855392777375</v>
      </c>
    </row>
    <row r="52" spans="19:20" ht="12.75">
      <c r="S52" t="s">
        <v>33</v>
      </c>
      <c r="T52">
        <f>2*PI()*SQRT(T43)</f>
        <v>1.8764905686409858</v>
      </c>
    </row>
    <row r="53" spans="19:20" ht="12.75">
      <c r="S53" t="s">
        <v>34</v>
      </c>
      <c r="T53">
        <f>2*PI()*SQRT(U43)</f>
        <v>1.186776248099799</v>
      </c>
    </row>
    <row r="54" spans="19:20" ht="12.75">
      <c r="S54" t="s">
        <v>35</v>
      </c>
      <c r="T54">
        <f>(2*PI()*PI()*V43)/(T52*T53)</f>
        <v>0.15369551280744162</v>
      </c>
    </row>
    <row r="55" spans="19:20" ht="12.75">
      <c r="S55" t="s">
        <v>36</v>
      </c>
      <c r="T55">
        <f>(2*PI()*PI()*W43)/(T51*T53)</f>
        <v>0.8914637656084163</v>
      </c>
    </row>
    <row r="56" spans="19:20" ht="12.75">
      <c r="S56" t="s">
        <v>37</v>
      </c>
      <c r="T56">
        <f>(2*PI()*PI()*X43)/(T52*T51)</f>
        <v>0.059243917334085634</v>
      </c>
    </row>
    <row r="58" spans="19:20" ht="12.75">
      <c r="S58" t="s">
        <v>38</v>
      </c>
      <c r="T58">
        <f>(T51*T52*T53*SQRT(1+2*(T54)*(T55)*(T56)-(T54)^2-(T55)^2-(T56)^2))</f>
        <v>1.1582088333392029</v>
      </c>
    </row>
    <row r="59" spans="19:20" ht="12.75">
      <c r="S59" t="s">
        <v>39</v>
      </c>
      <c r="T59">
        <f>SQRT(1-T54^2)</f>
        <v>0.9881182567602207</v>
      </c>
    </row>
    <row r="60" spans="19:20" ht="12.75">
      <c r="S60" t="s">
        <v>40</v>
      </c>
      <c r="T60">
        <f>SQRT(1-T55^2)</f>
        <v>0.4530919935369225</v>
      </c>
    </row>
    <row r="61" spans="19:20" ht="12.75">
      <c r="S61" t="s">
        <v>41</v>
      </c>
      <c r="T61">
        <f>SQRT(1-T56^2)</f>
        <v>0.9982435365475261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at Stony 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Ashfia Huq</dc:creator>
  <cp:keywords/>
  <dc:description/>
  <cp:lastModifiedBy>Ashfia Huq</cp:lastModifiedBy>
  <dcterms:created xsi:type="dcterms:W3CDTF">1999-05-15T00:29:42Z</dcterms:created>
  <dcterms:modified xsi:type="dcterms:W3CDTF">2003-04-10T19:20:07Z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